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filterPrivacy="1" defaultThemeVersion="124226"/>
  <bookViews>
    <workbookView xWindow="0" yWindow="-120" windowWidth="18630" windowHeight="8400" tabRatio="797"/>
  </bookViews>
  <sheets>
    <sheet name="Leptons" sheetId="21" r:id="rId1"/>
    <sheet name="Anomaly - Section 7.1" sheetId="22" r:id="rId2"/>
  </sheets>
  <calcPr calcId="125725"/>
</workbook>
</file>

<file path=xl/calcChain.xml><?xml version="1.0" encoding="utf-8"?>
<calcChain xmlns="http://schemas.openxmlformats.org/spreadsheetml/2006/main">
  <c r="G10" i="22"/>
  <c r="F10"/>
  <c r="G11"/>
  <c r="F11"/>
  <c r="F12"/>
  <c r="D5"/>
  <c r="G11" i="21"/>
  <c r="D3" i="22"/>
  <c r="E3"/>
  <c r="D8"/>
  <c r="D7"/>
  <c r="J2" i="21"/>
  <c r="G38"/>
  <c r="D12" i="22" l="1"/>
  <c r="E12"/>
  <c r="C10"/>
  <c r="C11"/>
  <c r="C12"/>
  <c r="E10"/>
  <c r="D10"/>
  <c r="D11"/>
  <c r="E11"/>
  <c r="G30" i="21"/>
  <c r="G34"/>
  <c r="H34" s="1"/>
  <c r="G33"/>
  <c r="H33" s="1"/>
  <c r="G39"/>
  <c r="H30"/>
  <c r="F38" s="1"/>
  <c r="G4"/>
  <c r="G2"/>
  <c r="G20"/>
  <c r="G3"/>
  <c r="J4"/>
  <c r="J20"/>
  <c r="J3"/>
  <c r="E7"/>
  <c r="F7" s="1"/>
  <c r="E8"/>
  <c r="F8" s="1"/>
  <c r="E9"/>
  <c r="F9" s="1"/>
  <c r="G9" s="1"/>
  <c r="H9" s="1"/>
  <c r="J16"/>
  <c r="J17"/>
  <c r="G21"/>
  <c r="G22"/>
  <c r="J22"/>
  <c r="E25"/>
  <c r="F25" s="1"/>
  <c r="E26"/>
  <c r="F26" s="1"/>
  <c r="G26" s="1"/>
  <c r="H26" s="1"/>
  <c r="E27"/>
  <c r="F27" s="1"/>
  <c r="H11" i="22" l="1"/>
  <c r="H10"/>
  <c r="I13" i="21"/>
  <c r="G14"/>
  <c r="I34"/>
  <c r="G25"/>
  <c r="H25" s="1"/>
  <c r="G13"/>
  <c r="K25"/>
  <c r="J25" s="1"/>
  <c r="H17"/>
  <c r="F17"/>
  <c r="F16"/>
  <c r="F18"/>
  <c r="I33"/>
  <c r="K26"/>
  <c r="J26" s="1"/>
  <c r="G8"/>
  <c r="H8" s="1"/>
  <c r="F39"/>
  <c r="G27"/>
  <c r="H27" s="1"/>
  <c r="K27" s="1"/>
  <c r="I27" s="1"/>
  <c r="J21"/>
  <c r="G7"/>
  <c r="H7" s="1"/>
  <c r="K7" s="1"/>
  <c r="K8"/>
  <c r="I8" s="1"/>
  <c r="I30"/>
  <c r="K9"/>
  <c r="H16" l="1"/>
  <c r="I14"/>
  <c r="I25"/>
  <c r="H37"/>
  <c r="I37" s="1"/>
  <c r="H18"/>
  <c r="G16"/>
  <c r="I16" s="1"/>
  <c r="G17"/>
  <c r="I17" s="1"/>
  <c r="K17" s="1"/>
  <c r="H39"/>
  <c r="I39" s="1"/>
  <c r="I26"/>
  <c r="H38"/>
  <c r="I38" s="1"/>
  <c r="G18"/>
  <c r="I18" s="1"/>
  <c r="J27"/>
  <c r="J8"/>
  <c r="I7"/>
  <c r="J7"/>
  <c r="I9"/>
  <c r="J9"/>
  <c r="K16" l="1"/>
</calcChain>
</file>

<file path=xl/sharedStrings.xml><?xml version="1.0" encoding="utf-8"?>
<sst xmlns="http://schemas.openxmlformats.org/spreadsheetml/2006/main" count="91" uniqueCount="53">
  <si>
    <t>Electron</t>
  </si>
  <si>
    <t>Muon</t>
  </si>
  <si>
    <t>P</t>
  </si>
  <si>
    <t>N</t>
  </si>
  <si>
    <t>NP</t>
  </si>
  <si>
    <t>K</t>
  </si>
  <si>
    <t xml:space="preserve">Volume </t>
  </si>
  <si>
    <t>R + kd</t>
  </si>
  <si>
    <t>Particle</t>
  </si>
  <si>
    <t>Electron mass</t>
  </si>
  <si>
    <t>Muon mass</t>
  </si>
  <si>
    <t>Tauon mass</t>
  </si>
  <si>
    <t>X</t>
  </si>
  <si>
    <t>Computed Mass</t>
  </si>
  <si>
    <t>μ</t>
  </si>
  <si>
    <t>Tau</t>
  </si>
  <si>
    <t>R = 1/NP</t>
  </si>
  <si>
    <t>Beta1</t>
  </si>
  <si>
    <t>Beta2</t>
  </si>
  <si>
    <t>Rel Difference</t>
  </si>
  <si>
    <t>Abs Difference</t>
  </si>
  <si>
    <t>Magnetic Moment Anomaly</t>
  </si>
  <si>
    <t>D'</t>
  </si>
  <si>
    <t>D</t>
  </si>
  <si>
    <t>X'</t>
  </si>
  <si>
    <t>μ'</t>
  </si>
  <si>
    <t>CODATA α =</t>
  </si>
  <si>
    <t>1/α</t>
  </si>
  <si>
    <t>α</t>
  </si>
  <si>
    <t>Diff. with CODATA</t>
  </si>
  <si>
    <t>α from geometry</t>
  </si>
  <si>
    <t>a1/tan(phi)</t>
  </si>
  <si>
    <t>a0 x tan(Phi) x tan(Phi)</t>
  </si>
  <si>
    <t>a2/tan(phi)</t>
  </si>
  <si>
    <t>Delta (g/2 - Exp)</t>
  </si>
  <si>
    <t>Q</t>
  </si>
  <si>
    <t>1/D</t>
  </si>
  <si>
    <t>D from pseudo-norm</t>
  </si>
  <si>
    <t>D' from pseudo-norm</t>
  </si>
  <si>
    <t>Ratio</t>
  </si>
  <si>
    <t>Eq (20)</t>
  </si>
  <si>
    <t>Relative Difference</t>
  </si>
  <si>
    <t>R</t>
  </si>
  <si>
    <t>Initial Solution - Table 1</t>
  </si>
  <si>
    <t>Second solution - Table 2</t>
  </si>
  <si>
    <t>Diff with α (Rel.):</t>
  </si>
  <si>
    <t>α (modified) =</t>
  </si>
  <si>
    <t>Alpha</t>
  </si>
  <si>
    <t>α  with 1/274</t>
  </si>
  <si>
    <t>Beta1 (cracked)</t>
  </si>
  <si>
    <t>Beta2 (cracked)</t>
  </si>
  <si>
    <t>gT/2 (Experiment)</t>
  </si>
  <si>
    <t>gT/2 (Computed)</t>
  </si>
</sst>
</file>

<file path=xl/styles.xml><?xml version="1.0" encoding="utf-8"?>
<styleSheet xmlns="http://schemas.openxmlformats.org/spreadsheetml/2006/main">
  <numFmts count="20">
    <numFmt numFmtId="164" formatCode="0.0000E+00"/>
    <numFmt numFmtId="165" formatCode="0.000000E+00"/>
    <numFmt numFmtId="166" formatCode="0.00000000E+00"/>
    <numFmt numFmtId="167" formatCode="0.000000000000E+00"/>
    <numFmt numFmtId="168" formatCode="0.0000000000E+00"/>
    <numFmt numFmtId="169" formatCode="0.0000000000"/>
    <numFmt numFmtId="170" formatCode="0.00000E+00"/>
    <numFmt numFmtId="171" formatCode="#,##0.000000"/>
    <numFmt numFmtId="172" formatCode="0.00000000000000"/>
    <numFmt numFmtId="173" formatCode="0.00000000000000E+00"/>
    <numFmt numFmtId="174" formatCode="#,##0.00000000"/>
    <numFmt numFmtId="175" formatCode="#,##0.0000000000"/>
    <numFmt numFmtId="176" formatCode="0.000000"/>
    <numFmt numFmtId="177" formatCode="0.000000000000000E+00"/>
    <numFmt numFmtId="178" formatCode="#,##0.000000000000000"/>
    <numFmt numFmtId="179" formatCode="0.00000000000E+00"/>
    <numFmt numFmtId="180" formatCode="0.000000000E+00"/>
    <numFmt numFmtId="181" formatCode="0.000000000000"/>
    <numFmt numFmtId="182" formatCode="0.000000000000000"/>
    <numFmt numFmtId="183" formatCode="0.00000000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5252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/>
    <xf numFmtId="3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166" fontId="0" fillId="0" borderId="0" xfId="0" applyNumberFormat="1"/>
    <xf numFmtId="166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/>
    <xf numFmtId="167" fontId="0" fillId="0" borderId="0" xfId="0" applyNumberFormat="1"/>
    <xf numFmtId="167" fontId="0" fillId="0" borderId="0" xfId="0" applyNumberFormat="1" applyFont="1"/>
    <xf numFmtId="168" fontId="0" fillId="0" borderId="0" xfId="0" applyNumberFormat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/>
    <xf numFmtId="166" fontId="0" fillId="0" borderId="0" xfId="0" applyNumberForma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9" fontId="0" fillId="0" borderId="0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0" fontId="0" fillId="0" borderId="0" xfId="0" applyNumberFormat="1"/>
    <xf numFmtId="165" fontId="0" fillId="0" borderId="0" xfId="0" applyNumberFormat="1"/>
    <xf numFmtId="171" fontId="0" fillId="0" borderId="0" xfId="0" applyNumberFormat="1" applyFont="1"/>
    <xf numFmtId="166" fontId="0" fillId="0" borderId="1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72" fontId="0" fillId="0" borderId="0" xfId="0" applyNumberFormat="1" applyFont="1"/>
    <xf numFmtId="173" fontId="0" fillId="0" borderId="0" xfId="0" applyNumberFormat="1" applyFont="1"/>
    <xf numFmtId="165" fontId="0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/>
    <xf numFmtId="166" fontId="0" fillId="0" borderId="3" xfId="0" applyNumberFormat="1" applyBorder="1"/>
    <xf numFmtId="174" fontId="0" fillId="0" borderId="6" xfId="0" applyNumberFormat="1" applyBorder="1" applyAlignment="1">
      <alignment horizontal="center" vertical="center"/>
    </xf>
    <xf numFmtId="174" fontId="0" fillId="0" borderId="6" xfId="0" applyNumberFormat="1" applyFont="1" applyBorder="1" applyAlignment="1">
      <alignment horizontal="center"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Font="1" applyBorder="1"/>
    <xf numFmtId="0" fontId="0" fillId="0" borderId="0" xfId="0" applyFont="1" applyBorder="1"/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0" fillId="0" borderId="8" xfId="0" applyBorder="1" applyAlignment="1">
      <alignment horizontal="center" vertical="center" wrapText="1"/>
    </xf>
    <xf numFmtId="175" fontId="0" fillId="0" borderId="12" xfId="0" applyNumberFormat="1" applyFont="1" applyBorder="1" applyAlignment="1">
      <alignment horizontal="center" vertical="center" wrapText="1"/>
    </xf>
    <xf numFmtId="174" fontId="0" fillId="0" borderId="9" xfId="0" applyNumberFormat="1" applyBorder="1" applyAlignment="1">
      <alignment horizontal="center" vertical="center"/>
    </xf>
    <xf numFmtId="176" fontId="0" fillId="0" borderId="0" xfId="0" applyNumberFormat="1" applyFont="1"/>
    <xf numFmtId="176" fontId="0" fillId="0" borderId="0" xfId="0" applyNumberFormat="1"/>
    <xf numFmtId="0" fontId="0" fillId="0" borderId="0" xfId="0" applyFont="1" applyFill="1" applyBorder="1"/>
    <xf numFmtId="173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74" fontId="0" fillId="0" borderId="0" xfId="0" applyNumberFormat="1"/>
    <xf numFmtId="177" fontId="0" fillId="0" borderId="0" xfId="0" applyNumberFormat="1" applyFont="1"/>
    <xf numFmtId="167" fontId="0" fillId="0" borderId="2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70" fontId="0" fillId="0" borderId="0" xfId="0" applyNumberFormat="1" applyFont="1"/>
    <xf numFmtId="178" fontId="0" fillId="0" borderId="0" xfId="0" applyNumberFormat="1" applyFont="1" applyFill="1" applyBorder="1"/>
    <xf numFmtId="173" fontId="0" fillId="0" borderId="7" xfId="0" applyNumberFormat="1" applyBorder="1" applyAlignment="1">
      <alignment horizontal="left" vertical="center" wrapText="1"/>
    </xf>
    <xf numFmtId="173" fontId="0" fillId="0" borderId="8" xfId="0" applyNumberFormat="1" applyFont="1" applyBorder="1" applyAlignment="1">
      <alignment horizontal="right" vertical="center" wrapText="1"/>
    </xf>
    <xf numFmtId="177" fontId="0" fillId="0" borderId="8" xfId="0" applyNumberFormat="1" applyBorder="1" applyAlignment="1">
      <alignment horizontal="right" vertical="center" wrapText="1"/>
    </xf>
    <xf numFmtId="166" fontId="0" fillId="0" borderId="9" xfId="0" applyNumberFormat="1" applyFont="1" applyBorder="1"/>
    <xf numFmtId="173" fontId="0" fillId="0" borderId="1" xfId="0" applyNumberForma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79" fontId="1" fillId="0" borderId="0" xfId="0" applyNumberFormat="1" applyFont="1"/>
    <xf numFmtId="179" fontId="0" fillId="0" borderId="0" xfId="0" applyNumberFormat="1" applyFont="1"/>
    <xf numFmtId="179" fontId="0" fillId="0" borderId="0" xfId="0" applyNumberFormat="1"/>
    <xf numFmtId="168" fontId="0" fillId="0" borderId="0" xfId="0" applyNumberFormat="1" applyFont="1"/>
    <xf numFmtId="180" fontId="0" fillId="0" borderId="0" xfId="0" applyNumberFormat="1" applyBorder="1" applyAlignment="1">
      <alignment horizontal="center" vertical="center" wrapText="1"/>
    </xf>
    <xf numFmtId="175" fontId="0" fillId="0" borderId="6" xfId="0" applyNumberFormat="1" applyBorder="1" applyAlignment="1">
      <alignment horizontal="center" vertical="center"/>
    </xf>
    <xf numFmtId="180" fontId="0" fillId="0" borderId="0" xfId="0" applyNumberFormat="1" applyFont="1"/>
    <xf numFmtId="182" fontId="0" fillId="0" borderId="0" xfId="0" applyNumberFormat="1" applyFont="1"/>
    <xf numFmtId="183" fontId="0" fillId="0" borderId="0" xfId="0" applyNumberFormat="1"/>
    <xf numFmtId="168" fontId="5" fillId="0" borderId="0" xfId="0" applyNumberFormat="1" applyFont="1"/>
    <xf numFmtId="167" fontId="0" fillId="0" borderId="1" xfId="0" applyNumberFormat="1" applyFont="1" applyBorder="1"/>
    <xf numFmtId="0" fontId="0" fillId="0" borderId="2" xfId="0" applyBorder="1"/>
    <xf numFmtId="177" fontId="0" fillId="0" borderId="3" xfId="0" applyNumberFormat="1" applyBorder="1"/>
    <xf numFmtId="177" fontId="0" fillId="0" borderId="4" xfId="0" applyNumberFormat="1" applyBorder="1"/>
    <xf numFmtId="0" fontId="0" fillId="0" borderId="5" xfId="0" applyBorder="1"/>
    <xf numFmtId="167" fontId="0" fillId="0" borderId="6" xfId="0" applyNumberFormat="1" applyFont="1" applyBorder="1"/>
    <xf numFmtId="181" fontId="0" fillId="0" borderId="7" xfId="0" applyNumberFormat="1" applyBorder="1"/>
    <xf numFmtId="167" fontId="0" fillId="0" borderId="8" xfId="0" applyNumberFormat="1" applyFont="1" applyBorder="1"/>
    <xf numFmtId="167" fontId="0" fillId="0" borderId="9" xfId="0" applyNumberFormat="1" applyFont="1" applyBorder="1"/>
    <xf numFmtId="0" fontId="0" fillId="0" borderId="1" xfId="0" applyFont="1" applyBorder="1"/>
    <xf numFmtId="179" fontId="0" fillId="0" borderId="1" xfId="0" applyNumberFormat="1" applyFont="1" applyBorder="1"/>
    <xf numFmtId="181" fontId="0" fillId="0" borderId="1" xfId="0" applyNumberFormat="1" applyFont="1" applyBorder="1"/>
    <xf numFmtId="177" fontId="0" fillId="0" borderId="1" xfId="0" applyNumberFormat="1" applyFont="1" applyBorder="1"/>
    <xf numFmtId="0" fontId="0" fillId="0" borderId="7" xfId="0" applyBorder="1"/>
    <xf numFmtId="181" fontId="0" fillId="0" borderId="8" xfId="0" applyNumberFormat="1" applyFont="1" applyBorder="1"/>
    <xf numFmtId="177" fontId="0" fillId="0" borderId="8" xfId="0" applyNumberFormat="1" applyFont="1" applyBorder="1"/>
    <xf numFmtId="177" fontId="1" fillId="0" borderId="0" xfId="0" applyNumberFormat="1" applyFont="1"/>
    <xf numFmtId="173" fontId="1" fillId="0" borderId="0" xfId="0" applyNumberFormat="1" applyFont="1"/>
    <xf numFmtId="180" fontId="1" fillId="0" borderId="0" xfId="0" applyNumberFormat="1" applyFont="1"/>
    <xf numFmtId="177" fontId="0" fillId="0" borderId="0" xfId="0" applyNumberFormat="1" applyBorder="1"/>
    <xf numFmtId="0" fontId="0" fillId="0" borderId="17" xfId="0" applyFont="1" applyBorder="1" applyAlignment="1"/>
    <xf numFmtId="0" fontId="0" fillId="0" borderId="15" xfId="0" applyFont="1" applyBorder="1" applyAlignment="1"/>
    <xf numFmtId="0" fontId="0" fillId="0" borderId="15" xfId="0" applyBorder="1" applyAlignment="1"/>
    <xf numFmtId="0" fontId="0" fillId="0" borderId="14" xfId="0" applyBorder="1" applyAlignment="1"/>
    <xf numFmtId="173" fontId="0" fillId="0" borderId="0" xfId="0" applyNumberFormat="1"/>
    <xf numFmtId="173" fontId="0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/>
    <xf numFmtId="177" fontId="0" fillId="0" borderId="9" xfId="0" applyNumberFormat="1" applyBorder="1" applyAlignment="1">
      <alignment horizontal="right" vertical="center" wrapText="1"/>
    </xf>
    <xf numFmtId="175" fontId="0" fillId="0" borderId="0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4" xfId="0" applyBorder="1" applyAlignment="1"/>
    <xf numFmtId="0" fontId="0" fillId="0" borderId="1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>
      <selection activeCell="A44" sqref="A44"/>
    </sheetView>
  </sheetViews>
  <sheetFormatPr defaultColWidth="9.140625" defaultRowHeight="15"/>
  <cols>
    <col min="1" max="1" width="8.85546875" style="1" customWidth="1"/>
    <col min="2" max="4" width="4.28515625" style="1" customWidth="1"/>
    <col min="5" max="5" width="6.28515625" style="1" customWidth="1"/>
    <col min="6" max="6" width="21.85546875" style="1" customWidth="1"/>
    <col min="7" max="7" width="22.85546875" style="17" customWidth="1"/>
    <col min="8" max="8" width="21.28515625" style="17" customWidth="1"/>
    <col min="9" max="9" width="21.5703125" style="17" customWidth="1"/>
    <col min="10" max="10" width="18.85546875" style="17" customWidth="1"/>
    <col min="11" max="11" width="19.5703125" style="17" customWidth="1"/>
    <col min="12" max="12" width="13.85546875" style="17" customWidth="1"/>
    <col min="13" max="13" width="19.85546875" style="17" customWidth="1"/>
    <col min="14" max="14" width="17.42578125" style="1" customWidth="1"/>
    <col min="15" max="15" width="18.5703125" style="1" customWidth="1"/>
    <col min="16" max="17" width="16.85546875" style="1" customWidth="1"/>
    <col min="18" max="18" width="18.5703125" style="1" customWidth="1"/>
    <col min="19" max="19" width="12.7109375" style="1" customWidth="1"/>
    <col min="20" max="21" width="12.7109375" style="17" customWidth="1"/>
    <col min="22" max="23" width="12.7109375" style="1" customWidth="1"/>
    <col min="24" max="16384" width="9.140625" style="1"/>
  </cols>
  <sheetData>
    <row r="1" spans="1:22" s="17" customFormat="1">
      <c r="A1" s="61" t="s">
        <v>43</v>
      </c>
    </row>
    <row r="2" spans="1:22">
      <c r="A2" s="61"/>
      <c r="E2" s="40"/>
      <c r="F2" s="47" t="s">
        <v>23</v>
      </c>
      <c r="G2" s="91">
        <f>0.000853221892902</f>
        <v>8.5322189290199999E-4</v>
      </c>
      <c r="H2" s="91"/>
      <c r="I2" s="47" t="s">
        <v>9</v>
      </c>
      <c r="J2" s="65">
        <f>510.998928</f>
        <v>510.99892799999998</v>
      </c>
      <c r="K2" s="48"/>
      <c r="L2" s="27"/>
      <c r="N2" s="17"/>
      <c r="T2" s="1"/>
      <c r="U2" s="1"/>
    </row>
    <row r="3" spans="1:22">
      <c r="C3" s="16"/>
      <c r="D3" s="17"/>
      <c r="E3" s="40"/>
      <c r="F3" s="40" t="s">
        <v>12</v>
      </c>
      <c r="G3" s="92">
        <f>8.14512104162332</f>
        <v>8.1451210416233195</v>
      </c>
      <c r="H3" s="21"/>
      <c r="I3" s="47" t="s">
        <v>10</v>
      </c>
      <c r="J3" s="66">
        <f>105658.3715</f>
        <v>105658.37149999999</v>
      </c>
      <c r="K3" s="48"/>
      <c r="L3" s="21"/>
      <c r="N3" s="17"/>
      <c r="T3" s="1"/>
      <c r="U3" s="1"/>
    </row>
    <row r="4" spans="1:22">
      <c r="C4" s="6"/>
      <c r="D4" s="7"/>
      <c r="E4" s="39"/>
      <c r="F4" s="40" t="s">
        <v>14</v>
      </c>
      <c r="G4" s="92">
        <f>0.241676610893</f>
        <v>0.24167661089299999</v>
      </c>
      <c r="H4" s="23"/>
      <c r="I4" s="47" t="s">
        <v>11</v>
      </c>
      <c r="J4" s="66">
        <f>1776820</f>
        <v>1776820</v>
      </c>
      <c r="K4" s="2"/>
      <c r="L4" s="18"/>
      <c r="N4" s="17"/>
      <c r="T4" s="1"/>
      <c r="U4" s="1"/>
    </row>
    <row r="5" spans="1:22" ht="15.75" thickBot="1">
      <c r="G5" s="22"/>
      <c r="H5" s="23"/>
      <c r="I5" s="18"/>
      <c r="J5" s="99"/>
      <c r="K5" s="35"/>
      <c r="L5" s="21"/>
      <c r="N5" s="17"/>
      <c r="T5" s="1"/>
      <c r="U5" s="1"/>
    </row>
    <row r="6" spans="1:22" s="3" customFormat="1" ht="16.5" customHeight="1">
      <c r="A6" s="14" t="s">
        <v>8</v>
      </c>
      <c r="B6" s="10" t="s">
        <v>2</v>
      </c>
      <c r="C6" s="10" t="s">
        <v>3</v>
      </c>
      <c r="D6" s="10" t="s">
        <v>5</v>
      </c>
      <c r="E6" s="10" t="s">
        <v>4</v>
      </c>
      <c r="F6" s="13" t="s">
        <v>16</v>
      </c>
      <c r="G6" s="13" t="s">
        <v>7</v>
      </c>
      <c r="H6" s="10" t="s">
        <v>6</v>
      </c>
      <c r="I6" s="13" t="s">
        <v>19</v>
      </c>
      <c r="J6" s="54" t="s">
        <v>20</v>
      </c>
      <c r="K6" s="5" t="s">
        <v>13</v>
      </c>
    </row>
    <row r="7" spans="1:22" s="3" customFormat="1">
      <c r="A7" s="11" t="s">
        <v>0</v>
      </c>
      <c r="B7" s="8">
        <v>2</v>
      </c>
      <c r="C7" s="8">
        <v>2</v>
      </c>
      <c r="D7" s="8">
        <v>2</v>
      </c>
      <c r="E7" s="8">
        <f>B7*C7</f>
        <v>4</v>
      </c>
      <c r="F7" s="8">
        <f>1/E7</f>
        <v>0.25</v>
      </c>
      <c r="G7" s="37">
        <f>F7+(D7*G2)</f>
        <v>0.25170644378580398</v>
      </c>
      <c r="H7" s="8">
        <f>G7*G7*G7</f>
        <v>1.5947147141713483E-2</v>
      </c>
      <c r="I7" s="9">
        <f>1 - K7/J2</f>
        <v>-2.9558577807620168E-12</v>
      </c>
      <c r="J7" s="55">
        <f>K7-J2</f>
        <v>1.5104433259693906E-9</v>
      </c>
      <c r="K7" s="96">
        <f>G3/H7+G4</f>
        <v>510.99892800151042</v>
      </c>
      <c r="M7" s="25"/>
      <c r="N7" s="25"/>
    </row>
    <row r="8" spans="1:22" s="3" customFormat="1">
      <c r="A8" s="11" t="s">
        <v>1</v>
      </c>
      <c r="B8" s="8">
        <v>5</v>
      </c>
      <c r="C8" s="8">
        <v>5</v>
      </c>
      <c r="D8" s="32">
        <v>3</v>
      </c>
      <c r="E8" s="8">
        <f>B8*C8</f>
        <v>25</v>
      </c>
      <c r="F8" s="8">
        <f>1/E8</f>
        <v>0.04</v>
      </c>
      <c r="G8" s="37">
        <f>F8+(D8*G2)</f>
        <v>4.2559665678705998E-2</v>
      </c>
      <c r="H8" s="8">
        <f>G8*G8*G8</f>
        <v>7.7089392508032499E-5</v>
      </c>
      <c r="I8" s="9">
        <f>1 - K8/J3</f>
        <v>-4.2010839251815923E-13</v>
      </c>
      <c r="J8" s="55">
        <f>K8-J3</f>
        <v>4.4397893361747265E-8</v>
      </c>
      <c r="K8" s="51">
        <f>G3/H8+G4</f>
        <v>105658.37150004439</v>
      </c>
      <c r="L8" s="43"/>
      <c r="M8" s="43"/>
      <c r="N8" s="46"/>
    </row>
    <row r="9" spans="1:22" s="3" customFormat="1" ht="15.75" thickBot="1">
      <c r="A9" s="15" t="s">
        <v>15</v>
      </c>
      <c r="B9" s="12">
        <v>9</v>
      </c>
      <c r="C9" s="12">
        <v>9</v>
      </c>
      <c r="D9" s="12">
        <v>5</v>
      </c>
      <c r="E9" s="12">
        <f>B9*C9</f>
        <v>81</v>
      </c>
      <c r="F9" s="12">
        <f>1/E9</f>
        <v>1.2345679012345678E-2</v>
      </c>
      <c r="G9" s="38">
        <f>F9+(D9*G2)</f>
        <v>1.6611788476855679E-2</v>
      </c>
      <c r="H9" s="12">
        <f>G9*G9*G9</f>
        <v>4.5840482203009674E-6</v>
      </c>
      <c r="I9" s="62">
        <f>1 - K9/J4</f>
        <v>-1.1490528819768642E-5</v>
      </c>
      <c r="J9" s="63">
        <f>K9-J4</f>
        <v>20.416601417586207</v>
      </c>
      <c r="K9" s="64">
        <f>G3/H9+G4</f>
        <v>1776840.4166014176</v>
      </c>
      <c r="L9" s="45"/>
      <c r="M9" s="45"/>
      <c r="N9" s="43"/>
    </row>
    <row r="10" spans="1:22" s="3" customFormat="1">
      <c r="A10" s="4"/>
      <c r="B10" s="4"/>
      <c r="C10" s="4"/>
      <c r="D10" s="4"/>
      <c r="E10" s="4"/>
      <c r="F10" s="30"/>
      <c r="G10" s="22"/>
      <c r="H10" s="4"/>
      <c r="I10" s="69"/>
      <c r="J10" s="29"/>
      <c r="K10" s="31"/>
      <c r="L10" s="20"/>
      <c r="M10" s="26"/>
      <c r="N10" s="26"/>
    </row>
    <row r="11" spans="1:22" s="3" customFormat="1" ht="16.5" customHeight="1">
      <c r="A11" s="33"/>
      <c r="B11" s="4"/>
      <c r="C11" s="4"/>
      <c r="D11" s="4"/>
      <c r="E11" s="4"/>
      <c r="F11" s="30" t="s">
        <v>26</v>
      </c>
      <c r="G11" s="24">
        <f>H11</f>
        <v>7.2973525697999997E-3</v>
      </c>
      <c r="H11" s="24">
        <v>7.2973525697999997E-3</v>
      </c>
      <c r="I11" s="68"/>
      <c r="J11" s="29"/>
      <c r="K11" s="31"/>
      <c r="L11" s="19"/>
      <c r="M11" s="28"/>
      <c r="N11" s="21"/>
      <c r="R11" s="25"/>
      <c r="S11" s="44"/>
      <c r="T11" s="44"/>
      <c r="U11" s="44"/>
      <c r="V11" s="45"/>
    </row>
    <row r="12" spans="1:22" s="3" customFormat="1" ht="16.5" customHeight="1">
      <c r="A12" s="59" t="s">
        <v>21</v>
      </c>
      <c r="B12" s="60"/>
      <c r="C12" s="60"/>
      <c r="D12" s="60"/>
      <c r="E12" s="60"/>
      <c r="F12" s="30"/>
      <c r="G12" s="24"/>
      <c r="H12" s="28"/>
      <c r="I12" s="93"/>
      <c r="J12" s="95"/>
      <c r="K12" s="21"/>
      <c r="O12" s="25"/>
      <c r="P12" s="44"/>
      <c r="Q12" s="44"/>
      <c r="R12" s="44"/>
      <c r="S12" s="45"/>
    </row>
    <row r="13" spans="1:22">
      <c r="F13" s="47" t="s">
        <v>17</v>
      </c>
      <c r="G13" s="42">
        <f>1/(2*(2*G3/G4 + 1))</f>
        <v>7.3093938871920351E-3</v>
      </c>
      <c r="H13" s="120" t="s">
        <v>45</v>
      </c>
      <c r="I13" s="21">
        <f>1/(4*(G3/G4 + 5/9))</f>
        <v>7.297540421115226E-3</v>
      </c>
      <c r="J13" s="119"/>
      <c r="K13" s="71"/>
      <c r="M13" s="1"/>
      <c r="T13" s="1"/>
      <c r="U13" s="1"/>
    </row>
    <row r="14" spans="1:22" ht="15.75" thickBot="1">
      <c r="F14" s="56" t="s">
        <v>18</v>
      </c>
      <c r="G14" s="42">
        <f>1/(4*(G3/G4 + 5/9))</f>
        <v>7.297540421115226E-3</v>
      </c>
      <c r="H14" s="120" t="s">
        <v>45</v>
      </c>
      <c r="I14" s="42">
        <f>(G14-G11)/G11</f>
        <v>2.5742392659448866E-5</v>
      </c>
      <c r="J14" s="78"/>
      <c r="K14" s="1"/>
      <c r="L14" s="77"/>
      <c r="N14" s="17"/>
      <c r="T14" s="1"/>
      <c r="U14" s="1"/>
    </row>
    <row r="15" spans="1:22">
      <c r="D15" s="140"/>
      <c r="E15" s="141"/>
      <c r="F15" s="49" t="s">
        <v>32</v>
      </c>
      <c r="G15" s="49" t="s">
        <v>31</v>
      </c>
      <c r="H15" s="49" t="s">
        <v>33</v>
      </c>
      <c r="I15" s="49" t="s">
        <v>52</v>
      </c>
      <c r="J15" s="50" t="s">
        <v>51</v>
      </c>
      <c r="K15" s="76" t="s">
        <v>34</v>
      </c>
      <c r="L15" s="58"/>
      <c r="M15" s="1"/>
      <c r="R15" s="17"/>
      <c r="S15" s="17"/>
      <c r="T15" s="1"/>
      <c r="U15" s="1"/>
    </row>
    <row r="16" spans="1:22">
      <c r="D16" s="142" t="s">
        <v>0</v>
      </c>
      <c r="E16" s="143"/>
      <c r="F16" s="83">
        <f>POWER(TAN(G11), 3)/(2*PI())</f>
        <v>6.1849934988556258E-8</v>
      </c>
      <c r="G16" s="84">
        <f>SQRT(2+G11/2) /ATAN(SQRT(2+G11/2)*G14)</f>
        <v>137.0373452943445</v>
      </c>
      <c r="H16" s="83">
        <f>2*(1 - POWER(G11, 2) )/ATAN(2*(1 - POWER(G11, 2) )*G13)</f>
        <v>136.81999357375165</v>
      </c>
      <c r="I16" s="85">
        <f>1 + F16*G16*H16</f>
        <v>1.001159652183323</v>
      </c>
      <c r="J16" s="86">
        <f xml:space="preserve"> 2.00231930436153/2</f>
        <v>1.0011596521807651</v>
      </c>
      <c r="K16" s="87">
        <f xml:space="preserve"> I16-J16</f>
        <v>2.5579538487363607E-12</v>
      </c>
      <c r="L16" s="57"/>
      <c r="M16" s="1"/>
      <c r="R16" s="17"/>
      <c r="S16" s="17"/>
      <c r="T16" s="1"/>
      <c r="U16" s="1"/>
    </row>
    <row r="17" spans="1:21">
      <c r="D17" s="144" t="s">
        <v>1</v>
      </c>
      <c r="E17" s="145"/>
      <c r="F17" s="84">
        <f>POWER(TAN(5*3*G11/2), 3)/(POWER(3*5/2, 3)*2*PI())</f>
        <v>6.2032303882156912E-8</v>
      </c>
      <c r="G17" s="84">
        <f>SQRT(((5*5-2)/4)*(3+ G11/2 ))/ATAN(SQRT(((5*5-2)/4)*(3+G11/2 ))*G14)</f>
        <v>137.07447312274036</v>
      </c>
      <c r="H17" s="84">
        <f>(5*9/4)*(1-POWER(G11,2))/ATAN(((5*9/4)*(1-POWER(G11,2))*G13))</f>
        <v>137.11802756641657</v>
      </c>
      <c r="I17" s="85">
        <f>1 + F17*G17*H17</f>
        <v>1.0011659208096118</v>
      </c>
      <c r="J17" s="85">
        <f>(1+0.00116592091)</f>
        <v>1.0011659209099999</v>
      </c>
      <c r="K17" s="87">
        <f xml:space="preserve"> I17-J17</f>
        <v>-1.0038814224344605E-10</v>
      </c>
      <c r="L17" s="58"/>
      <c r="M17" s="1"/>
      <c r="R17" s="17"/>
      <c r="S17" s="17"/>
      <c r="T17" s="1"/>
      <c r="U17" s="1"/>
    </row>
    <row r="18" spans="1:21" s="17" customFormat="1" ht="15.75" thickBot="1">
      <c r="D18" s="146" t="s">
        <v>15</v>
      </c>
      <c r="E18" s="147"/>
      <c r="F18" s="88">
        <f>POWER(TAN(3*5*G11/2),3)/(POWER(3*5/2, 3)*2*PI())</f>
        <v>6.2032303882156912E-8</v>
      </c>
      <c r="G18" s="88">
        <f>SQRT(((9 - 2)/4)*(5 + G11/2 ) )/ATAN(SQRT(((9 - 2)/4)*(5 + G11/2))*G14)</f>
        <v>137.05376890754061</v>
      </c>
      <c r="H18" s="88">
        <f>(3*25/4)*(1-POWER(G11,2))/ATAN(((3*25/4)*(1-POWER(G11,2))*G13))</f>
        <v>137.66247989625637</v>
      </c>
      <c r="I18" s="89">
        <f>1 + F18*G18*H18</f>
        <v>1.0011703735083988</v>
      </c>
      <c r="J18" s="89"/>
      <c r="K18" s="90"/>
      <c r="L18" s="58"/>
    </row>
    <row r="19" spans="1:21">
      <c r="H19" s="42"/>
    </row>
    <row r="20" spans="1:21" s="17" customFormat="1">
      <c r="A20" s="61" t="s">
        <v>44</v>
      </c>
      <c r="E20" s="47"/>
      <c r="F20" s="67" t="s">
        <v>22</v>
      </c>
      <c r="G20" s="91">
        <f>0.0002255984538</f>
        <v>2.255984538E-4</v>
      </c>
      <c r="H20" s="91"/>
      <c r="I20" s="47" t="s">
        <v>9</v>
      </c>
      <c r="J20" s="36">
        <f>J2</f>
        <v>510.99892799999998</v>
      </c>
      <c r="K20" s="48"/>
      <c r="L20" s="27"/>
    </row>
    <row r="21" spans="1:21" s="17" customFormat="1">
      <c r="C21" s="47"/>
      <c r="E21" s="47"/>
      <c r="F21" s="47" t="s">
        <v>24</v>
      </c>
      <c r="G21" s="93">
        <f>8.02160767375101</f>
        <v>8.02160767375101</v>
      </c>
      <c r="H21" s="21"/>
      <c r="I21" s="47" t="s">
        <v>10</v>
      </c>
      <c r="J21" s="36">
        <f t="shared" ref="J21:J22" si="0">J3</f>
        <v>105658.37149999999</v>
      </c>
      <c r="K21" s="48"/>
      <c r="L21" s="21"/>
    </row>
    <row r="22" spans="1:21" s="17" customFormat="1">
      <c r="C22" s="47"/>
      <c r="E22" s="47"/>
      <c r="F22" s="47" t="s">
        <v>25</v>
      </c>
      <c r="G22" s="93">
        <f>0.385674928957262</f>
        <v>0.38567492895726202</v>
      </c>
      <c r="H22" s="23"/>
      <c r="I22" s="47" t="s">
        <v>11</v>
      </c>
      <c r="J22" s="36">
        <f t="shared" si="0"/>
        <v>1776820</v>
      </c>
      <c r="K22" s="2"/>
      <c r="L22" s="18"/>
    </row>
    <row r="23" spans="1:21" s="17" customFormat="1" ht="15.75" thickBot="1">
      <c r="F23" s="47"/>
      <c r="G23" s="22"/>
      <c r="H23" s="23"/>
      <c r="I23" s="18"/>
      <c r="J23" s="34"/>
      <c r="K23" s="35"/>
      <c r="L23" s="21"/>
    </row>
    <row r="24" spans="1:21" s="3" customFormat="1" ht="16.5" customHeight="1">
      <c r="A24" s="14" t="s">
        <v>8</v>
      </c>
      <c r="B24" s="10" t="s">
        <v>2</v>
      </c>
      <c r="C24" s="10" t="s">
        <v>3</v>
      </c>
      <c r="D24" s="10" t="s">
        <v>5</v>
      </c>
      <c r="E24" s="10" t="s">
        <v>4</v>
      </c>
      <c r="F24" s="13" t="s">
        <v>16</v>
      </c>
      <c r="G24" s="13" t="s">
        <v>7</v>
      </c>
      <c r="H24" s="10" t="s">
        <v>6</v>
      </c>
      <c r="I24" s="13" t="s">
        <v>19</v>
      </c>
      <c r="J24" s="54" t="s">
        <v>20</v>
      </c>
      <c r="K24" s="5" t="s">
        <v>13</v>
      </c>
    </row>
    <row r="25" spans="1:21" s="3" customFormat="1">
      <c r="A25" s="11" t="s">
        <v>0</v>
      </c>
      <c r="B25" s="8">
        <v>2</v>
      </c>
      <c r="C25" s="8">
        <v>2</v>
      </c>
      <c r="D25" s="8">
        <v>2</v>
      </c>
      <c r="E25" s="8">
        <f>B25*C25</f>
        <v>4</v>
      </c>
      <c r="F25" s="8">
        <f>1/E25</f>
        <v>0.25</v>
      </c>
      <c r="G25" s="37">
        <f>F25+(D25*G20)</f>
        <v>0.25045119690759998</v>
      </c>
      <c r="H25" s="37">
        <f>G25*G25*G25</f>
        <v>1.5709752196016124E-2</v>
      </c>
      <c r="I25" s="8">
        <f>1 - K25/J20</f>
        <v>-4.0611958240788226E-13</v>
      </c>
      <c r="J25" s="55">
        <f>K25-J20</f>
        <v>2.0747847884194925E-10</v>
      </c>
      <c r="K25" s="96">
        <f>G21/(H25) + G22</f>
        <v>510.99892800020746</v>
      </c>
      <c r="M25" s="25"/>
      <c r="N25" s="25"/>
    </row>
    <row r="26" spans="1:21" s="3" customFormat="1">
      <c r="A26" s="11" t="s">
        <v>1</v>
      </c>
      <c r="B26" s="8">
        <v>3</v>
      </c>
      <c r="C26" s="8">
        <v>8</v>
      </c>
      <c r="D26" s="32">
        <v>3</v>
      </c>
      <c r="E26" s="8">
        <f>B26*C26</f>
        <v>24</v>
      </c>
      <c r="F26" s="8">
        <f>1/E26</f>
        <v>4.1666666666666664E-2</v>
      </c>
      <c r="G26" s="37">
        <f>F26+(D26*G20)</f>
        <v>4.2343462028066665E-2</v>
      </c>
      <c r="H26" s="8">
        <f>G26*G26*G26</f>
        <v>7.5920505306182156E-5</v>
      </c>
      <c r="I26" s="8">
        <f>1 - K26/J21</f>
        <v>-3.467937048640124E-11</v>
      </c>
      <c r="J26" s="55">
        <f>K26-J21</f>
        <v>3.6641577025875449E-6</v>
      </c>
      <c r="K26" s="52">
        <f>G21/(H26) + G22</f>
        <v>105658.37150366415</v>
      </c>
      <c r="L26" s="43"/>
      <c r="M26" s="43"/>
      <c r="N26" s="46"/>
    </row>
    <row r="27" spans="1:21" s="3" customFormat="1" ht="15.75" thickBot="1">
      <c r="A27" s="15" t="s">
        <v>15</v>
      </c>
      <c r="B27" s="12">
        <v>4</v>
      </c>
      <c r="C27" s="12">
        <v>16</v>
      </c>
      <c r="D27" s="12">
        <v>4</v>
      </c>
      <c r="E27" s="12">
        <f>B27*C27</f>
        <v>64</v>
      </c>
      <c r="F27" s="12">
        <f>1/E27</f>
        <v>1.5625E-2</v>
      </c>
      <c r="G27" s="38">
        <f>F27+(D27*G20)</f>
        <v>1.6527393815199999E-2</v>
      </c>
      <c r="H27" s="12">
        <f>G27*G27*G27</f>
        <v>4.5145360649665011E-6</v>
      </c>
      <c r="I27" s="12">
        <f>1 - K27/J22</f>
        <v>-1.1399829924707561E-5</v>
      </c>
      <c r="J27" s="63">
        <f>K27-J22</f>
        <v>20.255445807008073</v>
      </c>
      <c r="K27" s="53">
        <f>G21/(H27) + G22</f>
        <v>1776840.255445807</v>
      </c>
      <c r="L27" s="45"/>
      <c r="M27" s="45"/>
      <c r="N27" s="43"/>
    </row>
    <row r="28" spans="1:21" ht="15.75" thickBot="1">
      <c r="G28" s="41"/>
      <c r="J28" s="23"/>
    </row>
    <row r="29" spans="1:21">
      <c r="F29" s="72"/>
      <c r="G29" s="73" t="s">
        <v>27</v>
      </c>
      <c r="H29" s="74" t="s">
        <v>28</v>
      </c>
      <c r="I29" s="75" t="s">
        <v>29</v>
      </c>
      <c r="K29" s="70"/>
    </row>
    <row r="30" spans="1:21" ht="15.75" thickBot="1">
      <c r="F30" s="79" t="s">
        <v>30</v>
      </c>
      <c r="G30" s="80">
        <f>SQRT(137*137 + PI()*PI() - (1/137)*(1/2 +1/8))</f>
        <v>137.03599907453989</v>
      </c>
      <c r="H30" s="81">
        <f>1/G30</f>
        <v>7.2973525697875652E-3</v>
      </c>
      <c r="I30" s="82">
        <f>H30-G11</f>
        <v>-1.2434497875801753E-14</v>
      </c>
      <c r="K30" s="71"/>
    </row>
    <row r="31" spans="1:21" ht="15.75" thickBot="1">
      <c r="F31" s="47"/>
      <c r="G31" s="118"/>
      <c r="H31" s="117"/>
      <c r="I31" s="71"/>
      <c r="J31" s="71"/>
      <c r="K31" s="71"/>
    </row>
    <row r="32" spans="1:21">
      <c r="F32" s="102"/>
      <c r="G32" s="49" t="s">
        <v>36</v>
      </c>
      <c r="H32" s="103" t="s">
        <v>23</v>
      </c>
      <c r="I32" s="104" t="s">
        <v>41</v>
      </c>
    </row>
    <row r="33" spans="5:10" s="1" customFormat="1">
      <c r="E33" s="47"/>
      <c r="F33" s="105" t="s">
        <v>37</v>
      </c>
      <c r="G33" s="101">
        <f>SQRT(POWER(4*(274+19), 2) +7*PI()*PI() - 19*PI()/(19 - 1))</f>
        <v>1172.0280590093519</v>
      </c>
      <c r="H33" s="101">
        <f>1/G33</f>
        <v>8.532218937192022E-4</v>
      </c>
      <c r="I33" s="106">
        <f>(H33-G2)/G2</f>
        <v>9.5778391937535173E-10</v>
      </c>
      <c r="J33" s="17"/>
    </row>
    <row r="34" spans="5:10" s="1" customFormat="1" ht="15.75" thickBot="1">
      <c r="E34" s="47"/>
      <c r="F34" s="107" t="s">
        <v>38</v>
      </c>
      <c r="G34" s="108">
        <f>SQRT(POWER((19 - 3)*(274+3), 2) +2*(274+19+1)*PI()*PI() - 3/(3 - 1))</f>
        <v>4432.6544899628525</v>
      </c>
      <c r="H34" s="108">
        <f>1/G34</f>
        <v>2.2559845398831895E-4</v>
      </c>
      <c r="I34" s="109">
        <f>(H34-G20)/G20</f>
        <v>8.3475284599567544E-10</v>
      </c>
      <c r="J34" s="17"/>
    </row>
    <row r="35" spans="5:10" s="17" customFormat="1" ht="15.75" thickBot="1">
      <c r="F35" s="92"/>
      <c r="G35" s="98"/>
      <c r="H35" s="23"/>
      <c r="I35" s="92"/>
    </row>
    <row r="36" spans="5:10" s="17" customFormat="1">
      <c r="E36" s="102" t="s">
        <v>40</v>
      </c>
      <c r="F36" s="74" t="s">
        <v>42</v>
      </c>
      <c r="G36" s="74" t="s">
        <v>35</v>
      </c>
      <c r="H36" s="103" t="s">
        <v>39</v>
      </c>
      <c r="I36" s="104" t="s">
        <v>41</v>
      </c>
      <c r="J36" s="94"/>
    </row>
    <row r="37" spans="5:10" s="17" customFormat="1">
      <c r="E37" s="105" t="s">
        <v>0</v>
      </c>
      <c r="F37" s="110"/>
      <c r="G37" s="111"/>
      <c r="H37" s="101">
        <f>4*PI()*(K25-G4)*SIN(H30)*(PI()/2 - H30)*SIN(H30/(PI()/2 - H30))/(SQRT(2)*G4)</f>
        <v>1.0000000304879346</v>
      </c>
      <c r="I37" s="106">
        <f t="shared" ref="I37:I38" si="1">1-H37</f>
        <v>-3.0487934621348245E-8</v>
      </c>
      <c r="J37" s="94"/>
    </row>
    <row r="38" spans="5:10" s="17" customFormat="1">
      <c r="E38" s="105" t="s">
        <v>1</v>
      </c>
      <c r="F38" s="112">
        <f>8/2+2*(1-H30/4)</f>
        <v>5.996351323715106</v>
      </c>
      <c r="G38" s="113">
        <f>(1/4)*(137+1-1/(274-3-37/2))</f>
        <v>34.499009900990096</v>
      </c>
      <c r="H38" s="101">
        <f>4*PI()*(K8-G4)*SIN(H30/F38)*(PI()/2 - H30)*SIN(H30/G38/(PI()/2 - H30))/(SQRT(2)*G4)</f>
        <v>1.0000000293385145</v>
      </c>
      <c r="I38" s="106">
        <f t="shared" si="1"/>
        <v>-2.9338514506704882E-8</v>
      </c>
    </row>
    <row r="39" spans="5:10" s="17" customFormat="1" ht="15.75" thickBot="1">
      <c r="E39" s="114" t="s">
        <v>15</v>
      </c>
      <c r="F39" s="115">
        <f>16/2+2*(1-H30/4)</f>
        <v>9.9963513237151069</v>
      </c>
      <c r="G39" s="116">
        <f>2*(137 + 37 + 1/(137 -  137/74))</f>
        <v>348.01479852014796</v>
      </c>
      <c r="H39" s="108">
        <f>4*PI()*(K9-G4)*SIN(H30/F39)*(PI()/2 - H30)*SIN(H30/G39/(PI()/2 - H30))/(SQRT(2)*G4)</f>
        <v>1.0000000164041283</v>
      </c>
      <c r="I39" s="109">
        <f>1-H39</f>
        <v>-1.6404128277969221E-8</v>
      </c>
    </row>
    <row r="40" spans="5:10" s="17" customFormat="1">
      <c r="F40" s="100"/>
      <c r="G40" s="92"/>
      <c r="H40" s="97"/>
      <c r="I40" s="92"/>
    </row>
    <row r="41" spans="5:10" s="17" customFormat="1">
      <c r="F41" s="91"/>
      <c r="G41" s="92"/>
      <c r="H41" s="71"/>
      <c r="I41" s="92"/>
    </row>
  </sheetData>
  <mergeCells count="4">
    <mergeCell ref="D15:E15"/>
    <mergeCell ref="D16:E16"/>
    <mergeCell ref="D17:E17"/>
    <mergeCell ref="D18:E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D16" sqref="D16"/>
    </sheetView>
  </sheetViews>
  <sheetFormatPr defaultColWidth="9.140625" defaultRowHeight="15"/>
  <cols>
    <col min="1" max="1" width="8.85546875" style="17" customWidth="1"/>
    <col min="2" max="2" width="10.28515625" style="17" customWidth="1"/>
    <col min="3" max="3" width="21.85546875" style="17" customWidth="1"/>
    <col min="4" max="4" width="22.85546875" style="17" customWidth="1"/>
    <col min="5" max="5" width="21.28515625" style="17" customWidth="1"/>
    <col min="6" max="6" width="21.5703125" style="17" customWidth="1"/>
    <col min="7" max="7" width="18.85546875" style="17" customWidth="1"/>
    <col min="8" max="8" width="19.5703125" style="17" customWidth="1"/>
    <col min="9" max="9" width="13.85546875" style="17" customWidth="1"/>
    <col min="10" max="10" width="19.85546875" style="17" customWidth="1"/>
    <col min="11" max="11" width="17.42578125" style="17" customWidth="1"/>
    <col min="12" max="12" width="18.5703125" style="17" customWidth="1"/>
    <col min="13" max="14" width="16.85546875" style="17" customWidth="1"/>
    <col min="15" max="15" width="18.5703125" style="17" customWidth="1"/>
    <col min="16" max="20" width="12.7109375" style="17" customWidth="1"/>
    <col min="21" max="16384" width="9.140625" style="17"/>
  </cols>
  <sheetData>
    <row r="1" spans="1:19" s="132" customFormat="1" ht="15.75" thickBot="1">
      <c r="A1" s="139" t="s">
        <v>47</v>
      </c>
      <c r="B1" s="4"/>
      <c r="C1" s="4"/>
      <c r="D1" s="19"/>
      <c r="E1" s="4"/>
      <c r="F1" s="33"/>
      <c r="G1" s="130"/>
      <c r="H1" s="131"/>
      <c r="J1" s="133"/>
      <c r="K1" s="133"/>
    </row>
    <row r="2" spans="1:19" s="132" customFormat="1">
      <c r="A2" s="4"/>
      <c r="B2" s="134"/>
      <c r="C2" s="72"/>
      <c r="D2" s="73" t="s">
        <v>27</v>
      </c>
      <c r="E2" s="75" t="s">
        <v>28</v>
      </c>
      <c r="F2" s="33"/>
      <c r="G2" s="130"/>
      <c r="H2" s="135"/>
      <c r="I2" s="136"/>
      <c r="J2" s="136"/>
      <c r="K2" s="137"/>
    </row>
    <row r="3" spans="1:19" s="132" customFormat="1" ht="15.75" thickBot="1">
      <c r="A3" s="33"/>
      <c r="B3" s="4"/>
      <c r="C3" s="79" t="s">
        <v>48</v>
      </c>
      <c r="D3" s="80">
        <f>SQRT(137*137 + PI()*PI() + 2/274/274 - (1/137)*(1/2 +1/8))</f>
        <v>137.03599917173941</v>
      </c>
      <c r="E3" s="129">
        <f>1/D3</f>
        <v>7.2973525646115589E-3</v>
      </c>
      <c r="F3" s="33"/>
      <c r="G3" s="130"/>
      <c r="H3" s="135"/>
      <c r="I3" s="138"/>
      <c r="J3" s="138"/>
      <c r="K3" s="136"/>
    </row>
    <row r="4" spans="1:19" s="3" customFormat="1">
      <c r="A4" s="4"/>
      <c r="B4" s="4"/>
      <c r="C4" s="30"/>
      <c r="D4" s="22"/>
      <c r="E4" s="4"/>
      <c r="F4" s="69"/>
      <c r="G4" s="29"/>
      <c r="H4" s="31"/>
      <c r="I4" s="20"/>
      <c r="J4" s="26"/>
      <c r="K4" s="26"/>
    </row>
    <row r="5" spans="1:19" s="3" customFormat="1">
      <c r="A5" s="33"/>
      <c r="B5" s="4"/>
      <c r="C5" s="30" t="s">
        <v>46</v>
      </c>
      <c r="D5" s="24">
        <f>E3</f>
        <v>7.2973525646115589E-3</v>
      </c>
      <c r="E5" s="24"/>
      <c r="F5" s="68"/>
      <c r="G5" s="29"/>
      <c r="H5" s="31"/>
      <c r="I5" s="19"/>
      <c r="J5" s="28"/>
      <c r="K5" s="21"/>
      <c r="O5" s="25"/>
      <c r="P5" s="44"/>
      <c r="Q5" s="44"/>
      <c r="R5" s="44"/>
      <c r="S5" s="45"/>
    </row>
    <row r="6" spans="1:19" s="3" customFormat="1">
      <c r="A6" s="59" t="s">
        <v>21</v>
      </c>
      <c r="B6" s="60"/>
      <c r="C6" s="30"/>
      <c r="D6" s="24"/>
      <c r="E6" s="28"/>
      <c r="F6" s="93"/>
      <c r="G6" s="95"/>
      <c r="H6" s="21"/>
      <c r="L6" s="25"/>
      <c r="M6" s="44"/>
      <c r="N6" s="44"/>
      <c r="O6" s="44"/>
      <c r="P6" s="45"/>
    </row>
    <row r="7" spans="1:19">
      <c r="C7" s="47" t="s">
        <v>49</v>
      </c>
      <c r="D7" s="125">
        <f>1/SQRT(137*137-5*PI()*PI()-(1/14)*(37-1/2+(1+1/137)/137))</f>
        <v>7.309393888338186E-3</v>
      </c>
      <c r="E7" s="120"/>
      <c r="F7" s="21"/>
      <c r="G7" s="119"/>
      <c r="H7" s="71"/>
    </row>
    <row r="8" spans="1:19" ht="15.75" thickBot="1">
      <c r="C8" s="56" t="s">
        <v>50</v>
      </c>
      <c r="D8" s="126">
        <f>1/SQRT(137*137 + PI()*PI()-(4+PI()/137)/(1 + PI()))</f>
        <v>7.2975404207762861E-3</v>
      </c>
      <c r="E8" s="120"/>
      <c r="F8" s="42"/>
      <c r="G8" s="78"/>
      <c r="I8" s="77"/>
    </row>
    <row r="9" spans="1:19">
      <c r="B9" s="121"/>
      <c r="C9" s="49" t="s">
        <v>32</v>
      </c>
      <c r="D9" s="49" t="s">
        <v>31</v>
      </c>
      <c r="E9" s="49" t="s">
        <v>33</v>
      </c>
      <c r="F9" s="49" t="s">
        <v>52</v>
      </c>
      <c r="G9" s="50" t="s">
        <v>51</v>
      </c>
      <c r="H9" s="76" t="s">
        <v>34</v>
      </c>
      <c r="I9" s="58"/>
    </row>
    <row r="10" spans="1:19">
      <c r="B10" s="122" t="s">
        <v>0</v>
      </c>
      <c r="C10" s="83">
        <f>POWER(TAN(D5), 3)/(2*PI())</f>
        <v>6.1849934856625066E-8</v>
      </c>
      <c r="D10" s="84">
        <f>SQRT(2+D5/2) /ATAN(SQRT(2+D5/2)*D8)</f>
        <v>137.03734530070884</v>
      </c>
      <c r="E10" s="83">
        <f>2*(1 - POWER(D5, 2) )/ATAN(2*(1 - POWER(D5, 2) )*D7)</f>
        <v>136.81999355230062</v>
      </c>
      <c r="F10" s="85">
        <f>1 + C10*D10*E10</f>
        <v>1.0011596521807216</v>
      </c>
      <c r="G10" s="86">
        <f xml:space="preserve"> 2.00231930436153/2</f>
        <v>1.0011596521807651</v>
      </c>
      <c r="H10" s="87">
        <f xml:space="preserve"> F10-G10</f>
        <v>-4.3520742565306136E-14</v>
      </c>
      <c r="I10" s="57"/>
    </row>
    <row r="11" spans="1:19">
      <c r="B11" s="123" t="s">
        <v>1</v>
      </c>
      <c r="C11" s="84">
        <f>POWER(TAN(5*3*D5/2), 3)/(POWER(3*5/2, 3)*2*PI())</f>
        <v>6.203230374957684E-8</v>
      </c>
      <c r="D11" s="84">
        <f>SQRT(((5*5-2)/4)*(3+ D5/2 ))/ATAN(SQRT(((5*5-2)/4)*(3+D5/2 ))*D8)</f>
        <v>137.07447312910293</v>
      </c>
      <c r="E11" s="84">
        <f>(5*9/4)*(1-POWER(D5,2))/ATAN(((5*9/4)*(1-POWER(D5,2))*D7))</f>
        <v>137.11802754501215</v>
      </c>
      <c r="F11" s="85">
        <f>1 + C11*D11*E11</f>
        <v>1.0011659208069918</v>
      </c>
      <c r="G11" s="85">
        <f>(1+0.00116592091)</f>
        <v>1.0011659209099999</v>
      </c>
      <c r="H11" s="87">
        <f xml:space="preserve"> F11-G11</f>
        <v>-1.030080465369565E-10</v>
      </c>
      <c r="I11" s="58"/>
    </row>
    <row r="12" spans="1:19" ht="15.75" thickBot="1">
      <c r="B12" s="124" t="s">
        <v>15</v>
      </c>
      <c r="C12" s="88">
        <f>POWER(TAN(3*5*D5/2),3)/(POWER(3*5/2, 3)*2*PI())</f>
        <v>6.203230374957684E-8</v>
      </c>
      <c r="D12" s="88">
        <f>SQRT(((9 - 2)/4)*(5 + D5/2 ) )/ATAN(SQRT(((9 - 2)/4)*(5 + D5/2))*D8)</f>
        <v>137.05376891390421</v>
      </c>
      <c r="E12" s="88">
        <f>(3*25/4)*(1-POWER(D5,2))/ATAN(((3*25/4)*(1-POWER(D5,2))*D7))</f>
        <v>137.66247987493631</v>
      </c>
      <c r="F12" s="89">
        <f>1 + C12*D12*E12</f>
        <v>1.0011703735057704</v>
      </c>
      <c r="G12" s="89"/>
      <c r="H12" s="90"/>
      <c r="I12" s="58"/>
    </row>
    <row r="13" spans="1:19">
      <c r="E13" s="42"/>
    </row>
    <row r="14" spans="1:19">
      <c r="D14" s="41"/>
      <c r="G14" s="23"/>
    </row>
    <row r="15" spans="1:19">
      <c r="F15" s="127"/>
      <c r="H15" s="70"/>
    </row>
    <row r="16" spans="1:19">
      <c r="F16" s="128"/>
      <c r="H16" s="71"/>
    </row>
    <row r="17" spans="3:8">
      <c r="C17" s="47"/>
      <c r="D17" s="118"/>
      <c r="E17" s="117"/>
      <c r="F17" s="71"/>
      <c r="G17" s="71"/>
      <c r="H17" s="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Leptons</vt:lpstr>
      <vt:lpstr>Anomaly - Section 7.1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2014-12-22T12:33:08Z</dcterms:modified>
</cp:coreProperties>
</file>